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ECS\A 2 BEBIDAS - IABA\A Taxas reduzidas\2025\"/>
    </mc:Choice>
  </mc:AlternateContent>
  <bookViews>
    <workbookView xWindow="0" yWindow="0" windowWidth="28800" windowHeight="12300" tabRatio="847"/>
  </bookViews>
  <sheets>
    <sheet name="Licores Regionais C Açores 2025" sheetId="1" r:id="rId1"/>
    <sheet name="Licores Reg. C. Cont. 2025" sheetId="3" r:id="rId2"/>
    <sheet name="Aguardente C Açores 2025" sheetId="2" r:id="rId3"/>
    <sheet name="Aguardente C Continente 2025" sheetId="4" r:id="rId4"/>
    <sheet name="RUM Regional C Açores 2025" sheetId="5" r:id="rId5"/>
    <sheet name="RUM Regional C Continente 2025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6" l="1"/>
  <c r="G7" i="6" s="1"/>
  <c r="E7" i="6"/>
  <c r="D7" i="6"/>
  <c r="F8" i="5"/>
  <c r="E8" i="5"/>
  <c r="D8" i="5"/>
  <c r="G7" i="5"/>
  <c r="H7" i="5" s="1"/>
  <c r="H7" i="6" l="1"/>
  <c r="H8" i="5"/>
  <c r="G8" i="5"/>
  <c r="F10" i="4"/>
  <c r="G10" i="4" s="1"/>
  <c r="H10" i="4" s="1"/>
  <c r="E10" i="4"/>
  <c r="D10" i="4"/>
  <c r="G9" i="4"/>
  <c r="H9" i="4" s="1"/>
  <c r="G8" i="4"/>
  <c r="H8" i="4" s="1"/>
  <c r="G7" i="4"/>
  <c r="H7" i="4" s="1"/>
  <c r="G6" i="4"/>
  <c r="H6" i="4" s="1"/>
  <c r="G7" i="3" l="1"/>
  <c r="H7" i="3" s="1"/>
  <c r="G8" i="3"/>
  <c r="G9" i="3"/>
  <c r="H9" i="3" s="1"/>
  <c r="H8" i="3"/>
  <c r="G6" i="3"/>
  <c r="H6" i="3" s="1"/>
  <c r="G6" i="1"/>
  <c r="H6" i="1" s="1"/>
  <c r="F10" i="3" l="1"/>
  <c r="G10" i="3" s="1"/>
  <c r="H10" i="3" s="1"/>
  <c r="E10" i="3"/>
  <c r="D10" i="3"/>
  <c r="G17" i="1" l="1"/>
  <c r="H17" i="1" s="1"/>
  <c r="H16" i="2"/>
  <c r="I16" i="2" s="1"/>
  <c r="G16" i="1"/>
  <c r="H16" i="1" s="1"/>
  <c r="G17" i="2" l="1"/>
  <c r="F17" i="2"/>
  <c r="E17" i="2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H17" i="2" l="1"/>
  <c r="I7" i="2"/>
  <c r="I17" i="2" s="1"/>
  <c r="F18" i="1"/>
  <c r="E18" i="1"/>
  <c r="D18" i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5" i="1"/>
  <c r="H5" i="1" s="1"/>
  <c r="G18" i="1" l="1"/>
  <c r="H18" i="1" s="1"/>
</calcChain>
</file>

<file path=xl/sharedStrings.xml><?xml version="1.0" encoding="utf-8"?>
<sst xmlns="http://schemas.openxmlformats.org/spreadsheetml/2006/main" count="165" uniqueCount="67">
  <si>
    <r>
      <t>AÇORES - TAXA REDUZIDA -</t>
    </r>
    <r>
      <rPr>
        <b/>
        <sz val="10"/>
        <color rgb="FFFF0000"/>
        <rFont val="Arial"/>
        <family val="2"/>
      </rPr>
      <t xml:space="preserve"> 25%</t>
    </r>
  </si>
  <si>
    <t>LICORES REGIONAIS - PRODUZIDOS E CONSUMIDOS NOS AÇORES</t>
  </si>
  <si>
    <t>ILHA</t>
  </si>
  <si>
    <t>OPERADOR</t>
  </si>
  <si>
    <t>Número IEC</t>
  </si>
  <si>
    <t>Litros de Licor</t>
  </si>
  <si>
    <t>Litros de Álcool Puro</t>
  </si>
  <si>
    <t>Montante Cobrado (25%) €</t>
  </si>
  <si>
    <t>Benefício Fiscal (75%) €</t>
  </si>
  <si>
    <t>IEC TOTAL  (€)</t>
  </si>
  <si>
    <t>PICO</t>
  </si>
  <si>
    <t>LEONILDA DE FATIMA PEREIRA DA SILVEIRA</t>
  </si>
  <si>
    <t>PT01152774629</t>
  </si>
  <si>
    <t>COOPERATIVA VITIVINÍCOLA DA ILHA DO PICO (CVIP)-PICOWINES CRL</t>
  </si>
  <si>
    <t>PT01512010617</t>
  </si>
  <si>
    <t>ALDA MARIA FREITAS COSTA</t>
  </si>
  <si>
    <t>PT01118885103</t>
  </si>
  <si>
    <t>TERCEIRA</t>
  </si>
  <si>
    <t>DIMAS LOPES</t>
  </si>
  <si>
    <t>PT01216646969</t>
  </si>
  <si>
    <t>MANUEL ALBERTO SILVEIRA LARANJO</t>
  </si>
  <si>
    <t>PT01175564663</t>
  </si>
  <si>
    <t>SÃO MIGUEL</t>
  </si>
  <si>
    <t>LIMA &amp; QUENTAL, LDA</t>
  </si>
  <si>
    <t>PT01512002479</t>
  </si>
  <si>
    <t>FABRICA DE LICORES EDUARDO FERREIRA &amp; FILHOS LDA</t>
  </si>
  <si>
    <t>PT01512045704</t>
  </si>
  <si>
    <t>MANUEL FRANCISCO SIMAS RAINHA</t>
  </si>
  <si>
    <t>PT01176270949</t>
  </si>
  <si>
    <t>COOPERATIVA CELEIRO DA TERRA CRL</t>
  </si>
  <si>
    <t>PT01512052670</t>
  </si>
  <si>
    <t>PRODUÇÕES EM LINHA, LDA</t>
  </si>
  <si>
    <t>PT01512010013</t>
  </si>
  <si>
    <t>ANA ARRUDA UNIPESSOAL LDA</t>
  </si>
  <si>
    <t>PT01509837417</t>
  </si>
  <si>
    <t>PT01143549863</t>
  </si>
  <si>
    <t>INTRODUÇÃO NO CONSUMO - LICORES - 2025</t>
  </si>
  <si>
    <t>AGUARDENTE REGIONAL - PRODUZIDA E CONSUMIDA NOS AÇORES</t>
  </si>
  <si>
    <t>Nome</t>
  </si>
  <si>
    <t>Litros de Aguardente</t>
  </si>
  <si>
    <t>Montante Cobrado (25%)</t>
  </si>
  <si>
    <t>Benefício Fiscal (75%)</t>
  </si>
  <si>
    <t>IEC TOTAL €</t>
  </si>
  <si>
    <t>GRACIOSA</t>
  </si>
  <si>
    <t>ADEGA E COOPERATIVA AGRICOLA DA ILHA GRACIOSA</t>
  </si>
  <si>
    <t>PT01512017891</t>
  </si>
  <si>
    <t>COOP. VITIVINÍCOLA DA ILHA DO PICO (CVIP)-PICOWINES CRL</t>
  </si>
  <si>
    <t>MANUEL FERNANDO GOMES PEREIRA</t>
  </si>
  <si>
    <t>PT01101502443</t>
  </si>
  <si>
    <t>LEONARDO AVILA DA SILVA</t>
  </si>
  <si>
    <r>
      <t xml:space="preserve">AÇORES - TAXA REDUZIDA - </t>
    </r>
    <r>
      <rPr>
        <b/>
        <sz val="10"/>
        <color rgb="FFFF0000"/>
        <rFont val="Arial"/>
        <family val="2"/>
      </rPr>
      <t>25%</t>
    </r>
  </si>
  <si>
    <t>INTRODUÇÃO NO CONSUMO - AGUARDENTE - 2025</t>
  </si>
  <si>
    <t>ALDINO MACHADO DE MELO</t>
  </si>
  <si>
    <t>PT01129574937</t>
  </si>
  <si>
    <t>FORTUNATO MANUEL DE LA CERDA GOMES E GARCIA</t>
  </si>
  <si>
    <t>PT01181052709</t>
  </si>
  <si>
    <r>
      <t>AÇORES - TAXA REDUZIDA -</t>
    </r>
    <r>
      <rPr>
        <b/>
        <sz val="10"/>
        <color rgb="FFFF0000"/>
        <rFont val="Arial"/>
        <family val="2"/>
      </rPr>
      <t xml:space="preserve"> 50%</t>
    </r>
  </si>
  <si>
    <t>Montante Cobrado (50%) €</t>
  </si>
  <si>
    <t>Benefício Fiscal (50%) €</t>
  </si>
  <si>
    <t>INTRODUÇÃO NO CONSUMO - RUM - 2025</t>
  </si>
  <si>
    <t>Litros de RUM</t>
  </si>
  <si>
    <t>INTRODUÇÃO NO CONSUMO - RUM- 2025</t>
  </si>
  <si>
    <t>AÇORES - TAXA REDUZIDA - 50%</t>
  </si>
  <si>
    <r>
      <t xml:space="preserve">AGUARDENTE REGIONAL - PRODUZIDA NOS AÇORES, </t>
    </r>
    <r>
      <rPr>
        <b/>
        <sz val="10"/>
        <color rgb="FFFF0000"/>
        <rFont val="Arial"/>
        <family val="2"/>
      </rPr>
      <t>MAS CONSUMIDA NO CONTINENTE</t>
    </r>
  </si>
  <si>
    <r>
      <t xml:space="preserve">LICORES REGIONAIS - PRODUZIDOS NOS AÇORES, </t>
    </r>
    <r>
      <rPr>
        <b/>
        <sz val="10"/>
        <color rgb="FFFF0000"/>
        <rFont val="Arial"/>
        <family val="2"/>
      </rPr>
      <t>MAS CONSUMIDOS NO CONTINENTE</t>
    </r>
  </si>
  <si>
    <t>RUM REGIONAL - PRODUZIDO E CONSUMIDO NOS AÇORES</t>
  </si>
  <si>
    <r>
      <t xml:space="preserve">RUM REGIONAL - PRODUZIDO NOS AÇORES, </t>
    </r>
    <r>
      <rPr>
        <b/>
        <sz val="10"/>
        <color rgb="FFFF0000"/>
        <rFont val="Arial"/>
        <family val="2"/>
      </rPr>
      <t>MAS CONSUMIDO NO CONTINENTE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</si>
</sst>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6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name val="Arial"/>
    </font>
    <font>
      <u/>
      <sz val="16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9" fontId="7" fillId="4" borderId="1" xfId="4" applyNumberFormat="1" applyFont="1" applyFill="1" applyBorder="1" applyAlignment="1">
      <alignment horizontal="center" vertical="center" wrapText="1"/>
    </xf>
    <xf numFmtId="49" fontId="7" fillId="4" borderId="2" xfId="4" applyNumberFormat="1" applyFont="1" applyFill="1" applyBorder="1" applyAlignment="1">
      <alignment horizontal="center" vertical="center" wrapText="1"/>
    </xf>
    <xf numFmtId="43" fontId="7" fillId="4" borderId="2" xfId="5" applyFont="1" applyFill="1" applyBorder="1" applyAlignment="1">
      <alignment horizontal="center" vertical="center" wrapText="1"/>
    </xf>
    <xf numFmtId="43" fontId="7" fillId="4" borderId="3" xfId="5" applyFont="1" applyFill="1" applyBorder="1" applyAlignment="1">
      <alignment horizontal="center" vertical="center" wrapText="1"/>
    </xf>
    <xf numFmtId="49" fontId="8" fillId="4" borderId="5" xfId="4" applyNumberFormat="1" applyFont="1" applyFill="1" applyBorder="1" applyAlignment="1">
      <alignment horizontal="left" vertical="center"/>
    </xf>
    <xf numFmtId="43" fontId="8" fillId="4" borderId="5" xfId="5" applyFont="1" applyFill="1" applyBorder="1" applyAlignment="1">
      <alignment horizontal="right" vertical="center"/>
    </xf>
    <xf numFmtId="43" fontId="8" fillId="4" borderId="6" xfId="5" applyFont="1" applyFill="1" applyBorder="1" applyAlignment="1">
      <alignment horizontal="right" vertical="center"/>
    </xf>
    <xf numFmtId="49" fontId="8" fillId="4" borderId="7" xfId="4" applyNumberFormat="1" applyFont="1" applyFill="1" applyBorder="1" applyAlignment="1">
      <alignment horizontal="left" vertical="center"/>
    </xf>
    <xf numFmtId="49" fontId="8" fillId="4" borderId="8" xfId="4" applyNumberFormat="1" applyFont="1" applyFill="1" applyBorder="1" applyAlignment="1">
      <alignment horizontal="left" vertical="center"/>
    </xf>
    <xf numFmtId="43" fontId="7" fillId="4" borderId="8" xfId="5" applyFont="1" applyFill="1" applyBorder="1" applyAlignment="1">
      <alignment horizontal="right" vertical="center"/>
    </xf>
    <xf numFmtId="43" fontId="7" fillId="4" borderId="9" xfId="5" applyFont="1" applyFill="1" applyBorder="1" applyAlignment="1">
      <alignment horizontal="right" vertical="center"/>
    </xf>
    <xf numFmtId="49" fontId="9" fillId="4" borderId="1" xfId="4" applyNumberFormat="1" applyFont="1" applyFill="1" applyBorder="1" applyAlignment="1">
      <alignment horizontal="center" vertical="center" wrapText="1"/>
    </xf>
    <xf numFmtId="49" fontId="9" fillId="4" borderId="2" xfId="4" applyNumberFormat="1" applyFont="1" applyFill="1" applyBorder="1" applyAlignment="1">
      <alignment horizontal="center" vertical="center" wrapText="1"/>
    </xf>
    <xf numFmtId="43" fontId="9" fillId="4" borderId="2" xfId="5" applyFont="1" applyFill="1" applyBorder="1" applyAlignment="1">
      <alignment horizontal="center" vertical="center" wrapText="1"/>
    </xf>
    <xf numFmtId="43" fontId="9" fillId="4" borderId="3" xfId="5" applyFont="1" applyFill="1" applyBorder="1" applyAlignment="1">
      <alignment horizontal="center" vertical="center" wrapText="1"/>
    </xf>
    <xf numFmtId="49" fontId="10" fillId="4" borderId="5" xfId="4" applyNumberFormat="1" applyFont="1" applyFill="1" applyBorder="1" applyAlignment="1">
      <alignment horizontal="left" vertical="center"/>
    </xf>
    <xf numFmtId="49" fontId="10" fillId="4" borderId="5" xfId="4" applyNumberFormat="1" applyFont="1" applyFill="1" applyBorder="1" applyAlignment="1">
      <alignment horizontal="center" vertical="center"/>
    </xf>
    <xf numFmtId="43" fontId="11" fillId="4" borderId="5" xfId="1" applyFont="1" applyFill="1" applyBorder="1" applyAlignment="1">
      <alignment horizontal="right" vertical="center"/>
    </xf>
    <xf numFmtId="43" fontId="11" fillId="4" borderId="5" xfId="1" applyNumberFormat="1" applyFont="1" applyFill="1" applyBorder="1" applyAlignment="1">
      <alignment horizontal="right" vertical="center"/>
    </xf>
    <xf numFmtId="49" fontId="12" fillId="6" borderId="5" xfId="3" applyNumberFormat="1" applyFont="1" applyFill="1" applyBorder="1" applyAlignment="1">
      <alignment horizontal="left" vertical="center"/>
    </xf>
    <xf numFmtId="43" fontId="12" fillId="6" borderId="5" xfId="3" applyNumberFormat="1" applyFont="1" applyFill="1" applyBorder="1" applyAlignment="1">
      <alignment horizontal="right" vertical="center"/>
    </xf>
    <xf numFmtId="43" fontId="12" fillId="6" borderId="6" xfId="3" applyNumberFormat="1" applyFont="1" applyFill="1" applyBorder="1" applyAlignment="1">
      <alignment horizontal="right" vertical="center"/>
    </xf>
    <xf numFmtId="49" fontId="13" fillId="4" borderId="5" xfId="4" applyNumberFormat="1" applyFont="1" applyFill="1" applyBorder="1" applyAlignment="1">
      <alignment horizontal="left" vertical="center"/>
    </xf>
    <xf numFmtId="43" fontId="13" fillId="4" borderId="5" xfId="1" applyFont="1" applyFill="1" applyBorder="1" applyAlignment="1">
      <alignment horizontal="right" vertical="center"/>
    </xf>
    <xf numFmtId="43" fontId="13" fillId="4" borderId="5" xfId="1" applyNumberFormat="1" applyFont="1" applyFill="1" applyBorder="1" applyAlignment="1">
      <alignment horizontal="right" vertical="center"/>
    </xf>
    <xf numFmtId="43" fontId="13" fillId="4" borderId="6" xfId="1" applyNumberFormat="1" applyFont="1" applyFill="1" applyBorder="1" applyAlignment="1">
      <alignment horizontal="right" vertical="center"/>
    </xf>
    <xf numFmtId="49" fontId="4" fillId="4" borderId="0" xfId="4" applyNumberFormat="1" applyFont="1" applyFill="1" applyAlignment="1">
      <alignment horizontal="left" vertical="center"/>
    </xf>
    <xf numFmtId="0" fontId="5" fillId="5" borderId="0" xfId="4" applyFont="1" applyFill="1" applyAlignment="1">
      <alignment horizontal="left" vertical="center"/>
    </xf>
    <xf numFmtId="49" fontId="4" fillId="5" borderId="0" xfId="4" applyNumberFormat="1" applyFont="1" applyFill="1" applyAlignment="1">
      <alignment horizontal="left" vertical="center"/>
    </xf>
    <xf numFmtId="0" fontId="0" fillId="6" borderId="0" xfId="0" applyFill="1"/>
    <xf numFmtId="0" fontId="5" fillId="4" borderId="0" xfId="4" applyFont="1" applyFill="1" applyAlignment="1">
      <alignment horizontal="left" vertical="center"/>
    </xf>
    <xf numFmtId="49" fontId="2" fillId="7" borderId="4" xfId="2" applyNumberFormat="1" applyFill="1" applyBorder="1" applyAlignment="1">
      <alignment horizontal="left" vertical="center"/>
    </xf>
    <xf numFmtId="43" fontId="0" fillId="6" borderId="0" xfId="1" applyFont="1" applyFill="1"/>
    <xf numFmtId="49" fontId="14" fillId="4" borderId="0" xfId="4" applyNumberFormat="1" applyFont="1" applyFill="1" applyAlignment="1">
      <alignment horizontal="left" vertical="center"/>
    </xf>
    <xf numFmtId="0" fontId="12" fillId="6" borderId="0" xfId="0" applyFont="1" applyFill="1"/>
    <xf numFmtId="0" fontId="7" fillId="4" borderId="0" xfId="4" applyFont="1" applyFill="1" applyAlignment="1">
      <alignment horizontal="left" vertical="center"/>
    </xf>
    <xf numFmtId="49" fontId="12" fillId="7" borderId="4" xfId="2" applyNumberFormat="1" applyFont="1" applyFill="1" applyBorder="1" applyAlignment="1">
      <alignment horizontal="left" vertical="center"/>
    </xf>
    <xf numFmtId="49" fontId="12" fillId="7" borderId="5" xfId="2" applyNumberFormat="1" applyFont="1" applyFill="1" applyBorder="1" applyAlignment="1">
      <alignment horizontal="left" vertical="center"/>
    </xf>
    <xf numFmtId="43" fontId="12" fillId="7" borderId="5" xfId="2" applyNumberFormat="1" applyFont="1" applyFill="1" applyBorder="1" applyAlignment="1">
      <alignment horizontal="right" vertical="center"/>
    </xf>
    <xf numFmtId="43" fontId="12" fillId="7" borderId="6" xfId="2" applyNumberFormat="1" applyFont="1" applyFill="1" applyBorder="1" applyAlignment="1">
      <alignment horizontal="right" vertical="center"/>
    </xf>
    <xf numFmtId="43" fontId="12" fillId="6" borderId="0" xfId="1" applyFont="1" applyFill="1"/>
    <xf numFmtId="0" fontId="12" fillId="6" borderId="0" xfId="4" applyFont="1" applyFill="1"/>
    <xf numFmtId="49" fontId="12" fillId="7" borderId="5" xfId="2" applyNumberFormat="1" applyFont="1" applyFill="1" applyBorder="1" applyAlignment="1">
      <alignment horizontal="center" vertical="center" wrapText="1"/>
    </xf>
    <xf numFmtId="49" fontId="12" fillId="7" borderId="5" xfId="2" applyNumberFormat="1" applyFont="1" applyFill="1" applyBorder="1" applyAlignment="1">
      <alignment horizontal="center" vertical="center"/>
    </xf>
    <xf numFmtId="0" fontId="12" fillId="7" borderId="5" xfId="2" applyFont="1" applyFill="1" applyBorder="1"/>
    <xf numFmtId="49" fontId="12" fillId="7" borderId="7" xfId="2" applyNumberFormat="1" applyFont="1" applyFill="1" applyBorder="1" applyAlignment="1">
      <alignment horizontal="left" vertical="center"/>
    </xf>
    <xf numFmtId="49" fontId="12" fillId="7" borderId="8" xfId="2" applyNumberFormat="1" applyFont="1" applyFill="1" applyBorder="1" applyAlignment="1">
      <alignment horizontal="left" vertical="center"/>
    </xf>
    <xf numFmtId="49" fontId="12" fillId="7" borderId="8" xfId="2" applyNumberFormat="1" applyFont="1" applyFill="1" applyBorder="1" applyAlignment="1">
      <alignment horizontal="center" vertical="center"/>
    </xf>
    <xf numFmtId="43" fontId="12" fillId="7" borderId="8" xfId="2" applyNumberFormat="1" applyFont="1" applyFill="1" applyBorder="1" applyAlignment="1">
      <alignment horizontal="right" vertical="center"/>
    </xf>
    <xf numFmtId="0" fontId="0" fillId="6" borderId="0" xfId="0" applyFill="1" applyAlignment="1">
      <alignment vertical="center"/>
    </xf>
    <xf numFmtId="43" fontId="0" fillId="6" borderId="0" xfId="1" applyFont="1" applyFill="1" applyAlignment="1">
      <alignment vertical="center"/>
    </xf>
    <xf numFmtId="43" fontId="15" fillId="6" borderId="0" xfId="0" applyNumberFormat="1" applyFont="1" applyFill="1" applyAlignment="1">
      <alignment vertical="center"/>
    </xf>
    <xf numFmtId="0" fontId="15" fillId="6" borderId="0" xfId="0" applyFont="1" applyFill="1" applyAlignment="1">
      <alignment vertical="center"/>
    </xf>
  </cellXfs>
  <cellStyles count="6">
    <cellStyle name="Correto" xfId="2" builtinId="26"/>
    <cellStyle name="Neutro" xfId="3" builtinId="28"/>
    <cellStyle name="Normal" xfId="0" builtinId="0"/>
    <cellStyle name="Normal 2" xfId="4"/>
    <cellStyle name="Vírgula" xfId="1" builtinId="3"/>
    <cellStyle name="Vírgula 2" xfId="5"/>
  </cellStyles>
  <dxfs count="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ela24" displayName="Tabela24" ref="A4:H18" totalsRowShown="0" headerRowDxfId="55" dataDxfId="54" headerRowBorderDxfId="93" tableBorderDxfId="92" totalsRowBorderDxfId="91" headerRowCellStyle="Vírgula" dataCellStyle="Vírgula">
  <autoFilter ref="A4:H18"/>
  <tableColumns count="8">
    <tableColumn id="1" name="ILHA" dataDxfId="63"/>
    <tableColumn id="2" name="OPERADOR" dataDxfId="62"/>
    <tableColumn id="3" name="Número IEC" dataDxfId="61"/>
    <tableColumn id="4" name="Litros de Licor" dataDxfId="60" dataCellStyle="Vírgula"/>
    <tableColumn id="5" name="Litros de Álcool Puro" dataDxfId="59" dataCellStyle="Vírgula"/>
    <tableColumn id="6" name="Montante Cobrado (25%) €" dataDxfId="58" dataCellStyle="Vírgula"/>
    <tableColumn id="7" name="Benefício Fiscal (75%) €" dataDxfId="57" dataCellStyle="Vírgula">
      <calculatedColumnFormula>Tabela24[[#This Row],[Montante Cobrado (25%) €]]*3</calculatedColumnFormula>
    </tableColumn>
    <tableColumn id="8" name="IEC TOTAL  (€)" dataDxfId="56" dataCellStyle="Vírgula">
      <calculatedColumnFormula>Tabela24[[#This Row],[Benefício Fiscal (75%) €]]+Tabela24[[#This Row],[Montante Cobrado (25%) €]]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43" displayName="Tabela243" ref="A5:H10" totalsRowShown="0" headerRowDxfId="65" dataDxfId="64" headerRowBorderDxfId="75" tableBorderDxfId="76" totalsRowBorderDxfId="74" headerRowCellStyle="Vírgula" dataCellStyle="Vírgula">
  <autoFilter ref="A5:H10"/>
  <tableColumns count="8">
    <tableColumn id="1" name="ILHA" dataDxfId="73"/>
    <tableColumn id="2" name="OPERADOR" dataDxfId="72"/>
    <tableColumn id="3" name="Número IEC" dataDxfId="71"/>
    <tableColumn id="4" name="Litros de Licor" dataDxfId="70" dataCellStyle="Vírgula"/>
    <tableColumn id="5" name="Litros de Álcool Puro" dataDxfId="69" dataCellStyle="Vírgula"/>
    <tableColumn id="6" name="Montante Cobrado (50%) €" dataDxfId="68" dataCellStyle="Vírgula"/>
    <tableColumn id="7" name="Benefício Fiscal (50%) €" dataDxfId="67" dataCellStyle="Vírgula">
      <calculatedColumnFormula>Tabela243[[#This Row],[Montante Cobrado (50%) €]]*1</calculatedColumnFormula>
    </tableColumn>
    <tableColumn id="8" name="IEC TOTAL  (€)" dataDxfId="66" dataCellStyle="Vírgula">
      <calculatedColumnFormula>Tabela243[[#This Row],[Benefício Fiscal (50%) €]]+Tabela243[[#This Row],[Montante Cobrado (50%) €]]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ela18" displayName="Tabela18" ref="B5:I16" totalsRowShown="0" headerRowDxfId="45" dataDxfId="44" headerRowBorderDxfId="90" tableBorderDxfId="89" totalsRowBorderDxfId="88" headerRowCellStyle="Vírgula" dataCellStyle="Vírgula">
  <autoFilter ref="B5:I16"/>
  <sortState ref="B6:I16">
    <sortCondition descending="1" ref="E4:E14"/>
  </sortState>
  <tableColumns count="8">
    <tableColumn id="1" name="ILHA" dataDxfId="53" totalsRowDxfId="87" dataCellStyle="Normal 2"/>
    <tableColumn id="2" name="Nome" dataDxfId="52" totalsRowDxfId="86" dataCellStyle="Normal 2"/>
    <tableColumn id="3" name="Número IEC" dataDxfId="51" totalsRowDxfId="85" dataCellStyle="Normal 2"/>
    <tableColumn id="4" name="Litros de Aguardente" dataDxfId="50" totalsRowDxfId="84" dataCellStyle="Vírgula"/>
    <tableColumn id="5" name="Litros de Álcool Puro" dataDxfId="49" totalsRowDxfId="83" dataCellStyle="Vírgula"/>
    <tableColumn id="6" name="Montante Cobrado (25%)" dataDxfId="48" totalsRowDxfId="82" dataCellStyle="Vírgula"/>
    <tableColumn id="7" name="Benefício Fiscal (75%)" dataDxfId="47" totalsRowDxfId="81" dataCellStyle="Vírgula">
      <calculatedColumnFormula>Tabela18[[#This Row],[Montante Cobrado (25%)]]*3</calculatedColumnFormula>
    </tableColumn>
    <tableColumn id="8" name="IEC TOTAL €" dataDxfId="46" totalsRowDxfId="80" dataCellStyle="Vírgul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ela2435" displayName="Tabela2435" ref="A5:H10" totalsRowShown="0" headerRowDxfId="35" dataDxfId="34" headerRowBorderDxfId="79" tableBorderDxfId="78" totalsRowBorderDxfId="77" headerRowCellStyle="Vírgula" dataCellStyle="Vírgula">
  <autoFilter ref="A5:H10"/>
  <tableColumns count="8">
    <tableColumn id="1" name="ILHA" dataDxfId="43"/>
    <tableColumn id="2" name="OPERADOR" dataDxfId="42"/>
    <tableColumn id="3" name="Número IEC" dataDxfId="41"/>
    <tableColumn id="4" name="Litros de Aguardente" dataDxfId="40" dataCellStyle="Vírgula"/>
    <tableColumn id="5" name="Litros de Álcool Puro" dataDxfId="39" dataCellStyle="Vírgula"/>
    <tableColumn id="6" name="Montante Cobrado (50%) €" dataDxfId="38" dataCellStyle="Vírgula"/>
    <tableColumn id="7" name="Benefício Fiscal (50%) €" dataDxfId="37" dataCellStyle="Vírgula">
      <calculatedColumnFormula>Tabela2435[[#This Row],[Montante Cobrado (50%) €]]*1</calculatedColumnFormula>
    </tableColumn>
    <tableColumn id="8" name="IEC TOTAL  (€)" dataDxfId="36" dataCellStyle="Vírgula">
      <calculatedColumnFormula>Tabela2435[[#This Row],[Benefício Fiscal (50%) €]]+Tabela2435[[#This Row],[Montante Cobrado (50%) €]]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ela187" displayName="Tabela187" ref="A5:H7" totalsRowShown="0" headerRowDxfId="1" dataDxfId="0" headerRowBorderDxfId="19" tableBorderDxfId="20" totalsRowBorderDxfId="18" headerRowCellStyle="Vírgula" dataCellStyle="Vírgula">
  <autoFilter ref="A5:H7"/>
  <sortState ref="A6:H16">
    <sortCondition descending="1" ref="D4:D14"/>
  </sortState>
  <tableColumns count="8">
    <tableColumn id="1" name="ILHA" dataDxfId="9" totalsRowDxfId="17" dataCellStyle="Normal 2"/>
    <tableColumn id="2" name="Nome" dataDxfId="8" totalsRowDxfId="16" dataCellStyle="Normal 2"/>
    <tableColumn id="3" name="Número IEC" dataDxfId="7" totalsRowDxfId="15" dataCellStyle="Normal 2"/>
    <tableColumn id="4" name="Litros de RUM" dataDxfId="6" totalsRowDxfId="14" dataCellStyle="Vírgula"/>
    <tableColumn id="5" name="Litros de Álcool Puro" dataDxfId="5" totalsRowDxfId="13" dataCellStyle="Vírgula"/>
    <tableColumn id="6" name="Montante Cobrado (25%)" dataDxfId="4" totalsRowDxfId="12" dataCellStyle="Vírgula"/>
    <tableColumn id="7" name="Benefício Fiscal (75%)" dataDxfId="3" totalsRowDxfId="11" dataCellStyle="Vírgula">
      <calculatedColumnFormula>Tabela187[[#This Row],[Montante Cobrado (25%)]]*3</calculatedColumnFormula>
    </tableColumn>
    <tableColumn id="8" name="IEC TOTAL €" dataDxfId="2" totalsRowDxfId="10" dataCellStyle="Vírgul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Tabela24359" displayName="Tabela24359" ref="A5:H7" totalsRowShown="0" headerRowDxfId="22" dataDxfId="21" headerRowBorderDxfId="32" tableBorderDxfId="33" totalsRowBorderDxfId="31" headerRowCellStyle="Vírgula" dataCellStyle="Vírgula">
  <autoFilter ref="A5:H7"/>
  <tableColumns count="8">
    <tableColumn id="1" name="ILHA" dataDxfId="30"/>
    <tableColumn id="2" name="OPERADOR" dataDxfId="29"/>
    <tableColumn id="3" name="Número IEC" dataDxfId="28"/>
    <tableColumn id="4" name="Litros de RUM" dataDxfId="27" dataCellStyle="Vírgula"/>
    <tableColumn id="5" name="Litros de Álcool Puro" dataDxfId="26" dataCellStyle="Vírgula"/>
    <tableColumn id="6" name="Montante Cobrado (50%) €" dataDxfId="25" dataCellStyle="Vírgula"/>
    <tableColumn id="7" name="Benefício Fiscal (50%) €" dataDxfId="24" dataCellStyle="Vírgula">
      <calculatedColumnFormula>Tabela24359[[#This Row],[Montante Cobrado (50%) €]]*1</calculatedColumnFormula>
    </tableColumn>
    <tableColumn id="8" name="IEC TOTAL  (€)" dataDxfId="23" dataCellStyle="Vírgula">
      <calculatedColumnFormula>Tabela24359[[#This Row],[Benefício Fiscal (50%) €]]+Tabela24359[[#This Row],[Montante Cobrado (50%) €]]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8"/>
  <sheetViews>
    <sheetView tabSelected="1" workbookViewId="0">
      <selection sqref="A1:H1"/>
    </sheetView>
  </sheetViews>
  <sheetFormatPr defaultRowHeight="15" x14ac:dyDescent="0.25"/>
  <cols>
    <col min="1" max="1" width="12.28515625" style="30" customWidth="1"/>
    <col min="2" max="2" width="64.28515625" style="30" customWidth="1"/>
    <col min="3" max="3" width="17.28515625" style="30" customWidth="1"/>
    <col min="4" max="4" width="18" style="30" customWidth="1"/>
    <col min="5" max="5" width="21" style="30" customWidth="1"/>
    <col min="6" max="6" width="25.7109375" style="30" customWidth="1"/>
    <col min="7" max="7" width="26.85546875" style="30" customWidth="1"/>
    <col min="8" max="8" width="22.85546875" style="30" customWidth="1"/>
    <col min="9" max="16384" width="9.140625" style="30"/>
  </cols>
  <sheetData>
    <row r="1" spans="1:10" ht="20.25" x14ac:dyDescent="0.25">
      <c r="A1" s="27" t="s">
        <v>36</v>
      </c>
      <c r="B1" s="27"/>
      <c r="C1" s="27"/>
      <c r="D1" s="27"/>
      <c r="E1" s="27"/>
      <c r="F1" s="27"/>
      <c r="G1" s="27"/>
      <c r="H1" s="27"/>
    </row>
    <row r="2" spans="1:10" x14ac:dyDescent="0.25">
      <c r="A2" s="31" t="s">
        <v>0</v>
      </c>
      <c r="B2" s="31"/>
      <c r="C2" s="31"/>
      <c r="D2" s="31"/>
      <c r="E2" s="31"/>
      <c r="F2" s="31"/>
      <c r="G2" s="31"/>
      <c r="H2" s="31"/>
    </row>
    <row r="3" spans="1:10" x14ac:dyDescent="0.25">
      <c r="A3" s="31" t="s">
        <v>1</v>
      </c>
      <c r="B3" s="31"/>
      <c r="C3" s="31"/>
      <c r="D3" s="31"/>
      <c r="E3" s="31"/>
      <c r="F3" s="31"/>
      <c r="G3" s="31"/>
      <c r="H3" s="31"/>
    </row>
    <row r="4" spans="1:10" x14ac:dyDescent="0.25">
      <c r="A4" s="1" t="s">
        <v>2</v>
      </c>
      <c r="B4" s="2" t="s">
        <v>3</v>
      </c>
      <c r="C4" s="2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</row>
    <row r="5" spans="1:10" x14ac:dyDescent="0.25">
      <c r="A5" s="32" t="s">
        <v>10</v>
      </c>
      <c r="B5" s="5" t="s">
        <v>11</v>
      </c>
      <c r="C5" s="5" t="s">
        <v>12</v>
      </c>
      <c r="D5" s="6">
        <v>46690</v>
      </c>
      <c r="E5" s="6">
        <v>10324.56</v>
      </c>
      <c r="F5" s="6">
        <v>41363.08</v>
      </c>
      <c r="G5" s="6">
        <f>Tabela24[[#This Row],[Montante Cobrado (25%) €]]*3</f>
        <v>124089.24</v>
      </c>
      <c r="H5" s="7">
        <f>Tabela24[[#This Row],[Benefício Fiscal (75%) €]]+Tabela24[[#This Row],[Montante Cobrado (25%) €]]</f>
        <v>165452.32</v>
      </c>
      <c r="J5" s="33"/>
    </row>
    <row r="6" spans="1:10" x14ac:dyDescent="0.25">
      <c r="A6" s="32" t="s">
        <v>10</v>
      </c>
      <c r="B6" s="5" t="s">
        <v>13</v>
      </c>
      <c r="C6" s="5" t="s">
        <v>14</v>
      </c>
      <c r="D6" s="6">
        <v>407.4</v>
      </c>
      <c r="E6" s="6">
        <v>119.02800000000001</v>
      </c>
      <c r="F6" s="6">
        <v>476.84</v>
      </c>
      <c r="G6" s="6">
        <f>Tabela24[[#This Row],[Montante Cobrado (25%) €]]*3</f>
        <v>1430.52</v>
      </c>
      <c r="H6" s="7">
        <f>Tabela24[[#This Row],[Benefício Fiscal (75%) €]]+Tabela24[[#This Row],[Montante Cobrado (25%) €]]</f>
        <v>1907.36</v>
      </c>
      <c r="J6" s="33"/>
    </row>
    <row r="7" spans="1:10" x14ac:dyDescent="0.25">
      <c r="A7" s="32" t="s">
        <v>10</v>
      </c>
      <c r="B7" s="5" t="s">
        <v>15</v>
      </c>
      <c r="C7" s="5" t="s">
        <v>16</v>
      </c>
      <c r="D7" s="6">
        <v>7034.7</v>
      </c>
      <c r="E7" s="6">
        <v>1488.84</v>
      </c>
      <c r="F7" s="6">
        <v>5964.7</v>
      </c>
      <c r="G7" s="6">
        <f>Tabela24[[#This Row],[Montante Cobrado (25%) €]]*3</f>
        <v>17894.099999999999</v>
      </c>
      <c r="H7" s="7">
        <f>Tabela24[[#This Row],[Benefício Fiscal (75%) €]]+Tabela24[[#This Row],[Montante Cobrado (25%) €]]</f>
        <v>23858.799999999999</v>
      </c>
      <c r="J7" s="33"/>
    </row>
    <row r="8" spans="1:10" x14ac:dyDescent="0.25">
      <c r="A8" s="32" t="s">
        <v>17</v>
      </c>
      <c r="B8" s="5" t="s">
        <v>18</v>
      </c>
      <c r="C8" s="5" t="s">
        <v>19</v>
      </c>
      <c r="D8" s="6">
        <v>3976.2</v>
      </c>
      <c r="E8" s="6">
        <v>755.61300000000006</v>
      </c>
      <c r="F8" s="6">
        <v>3026.86</v>
      </c>
      <c r="G8" s="6">
        <f>Tabela24[[#This Row],[Montante Cobrado (25%) €]]*3</f>
        <v>9080.58</v>
      </c>
      <c r="H8" s="7">
        <f>Tabela24[[#This Row],[Benefício Fiscal (75%) €]]+Tabela24[[#This Row],[Montante Cobrado (25%) €]]</f>
        <v>12107.44</v>
      </c>
      <c r="J8" s="33"/>
    </row>
    <row r="9" spans="1:10" x14ac:dyDescent="0.25">
      <c r="A9" s="32" t="s">
        <v>10</v>
      </c>
      <c r="B9" s="5" t="s">
        <v>20</v>
      </c>
      <c r="C9" s="5" t="s">
        <v>21</v>
      </c>
      <c r="D9" s="6">
        <v>770</v>
      </c>
      <c r="E9" s="6">
        <v>254.1</v>
      </c>
      <c r="F9" s="6">
        <v>1017.99</v>
      </c>
      <c r="G9" s="6">
        <f>Tabela24[[#This Row],[Montante Cobrado (25%) €]]*3</f>
        <v>3053.9700000000003</v>
      </c>
      <c r="H9" s="7">
        <f>Tabela24[[#This Row],[Benefício Fiscal (75%) €]]+Tabela24[[#This Row],[Montante Cobrado (25%) €]]</f>
        <v>4071.96</v>
      </c>
      <c r="J9" s="33"/>
    </row>
    <row r="10" spans="1:10" x14ac:dyDescent="0.25">
      <c r="A10" s="32" t="s">
        <v>22</v>
      </c>
      <c r="B10" s="5" t="s">
        <v>23</v>
      </c>
      <c r="C10" s="5" t="s">
        <v>24</v>
      </c>
      <c r="D10" s="6">
        <v>163581.6</v>
      </c>
      <c r="E10" s="6">
        <v>49011.1</v>
      </c>
      <c r="F10" s="6">
        <v>196352</v>
      </c>
      <c r="G10" s="6">
        <f>Tabela24[[#This Row],[Montante Cobrado (25%) €]]*3</f>
        <v>589056</v>
      </c>
      <c r="H10" s="7">
        <f>Tabela24[[#This Row],[Benefício Fiscal (75%) €]]+Tabela24[[#This Row],[Montante Cobrado (25%) €]]</f>
        <v>785408</v>
      </c>
      <c r="J10" s="33"/>
    </row>
    <row r="11" spans="1:10" x14ac:dyDescent="0.25">
      <c r="A11" s="32" t="s">
        <v>22</v>
      </c>
      <c r="B11" s="20" t="s">
        <v>25</v>
      </c>
      <c r="C11" s="20" t="s">
        <v>26</v>
      </c>
      <c r="D11" s="21">
        <v>123342.55</v>
      </c>
      <c r="E11" s="21">
        <v>29093.43</v>
      </c>
      <c r="F11" s="21">
        <v>116555.9</v>
      </c>
      <c r="G11" s="21">
        <f>Tabela24[[#This Row],[Montante Cobrado (25%) €]]*3</f>
        <v>349667.69999999995</v>
      </c>
      <c r="H11" s="22">
        <f>Tabela24[[#This Row],[Benefício Fiscal (75%) €]]+Tabela24[[#This Row],[Montante Cobrado (25%) €]]</f>
        <v>466223.6</v>
      </c>
      <c r="J11" s="33"/>
    </row>
    <row r="12" spans="1:10" x14ac:dyDescent="0.25">
      <c r="A12" s="32" t="s">
        <v>22</v>
      </c>
      <c r="B12" s="5" t="s">
        <v>27</v>
      </c>
      <c r="C12" s="5" t="s">
        <v>28</v>
      </c>
      <c r="D12" s="6">
        <v>60919.7</v>
      </c>
      <c r="E12" s="6">
        <v>17382.07</v>
      </c>
      <c r="F12" s="6">
        <v>69637.41</v>
      </c>
      <c r="G12" s="6">
        <f>Tabela24[[#This Row],[Montante Cobrado (25%) €]]*3</f>
        <v>208912.23</v>
      </c>
      <c r="H12" s="7">
        <f>Tabela24[[#This Row],[Benefício Fiscal (75%) €]]+Tabela24[[#This Row],[Montante Cobrado (25%) €]]</f>
        <v>278549.64</v>
      </c>
      <c r="J12" s="33"/>
    </row>
    <row r="13" spans="1:10" x14ac:dyDescent="0.25">
      <c r="A13" s="32" t="s">
        <v>22</v>
      </c>
      <c r="B13" s="5" t="s">
        <v>29</v>
      </c>
      <c r="C13" s="5" t="s">
        <v>30</v>
      </c>
      <c r="D13" s="6">
        <v>7495.6</v>
      </c>
      <c r="E13" s="6">
        <v>1659.729</v>
      </c>
      <c r="F13" s="6">
        <v>6649.49</v>
      </c>
      <c r="G13" s="6">
        <f>Tabela24[[#This Row],[Montante Cobrado (25%) €]]*3</f>
        <v>19948.47</v>
      </c>
      <c r="H13" s="7">
        <f>Tabela24[[#This Row],[Benefício Fiscal (75%) €]]+Tabela24[[#This Row],[Montante Cobrado (25%) €]]</f>
        <v>26597.96</v>
      </c>
      <c r="J13" s="33"/>
    </row>
    <row r="14" spans="1:10" x14ac:dyDescent="0.25">
      <c r="A14" s="32" t="s">
        <v>22</v>
      </c>
      <c r="B14" s="5" t="s">
        <v>31</v>
      </c>
      <c r="C14" s="5" t="s">
        <v>32</v>
      </c>
      <c r="D14" s="6">
        <v>1801.85</v>
      </c>
      <c r="E14" s="6">
        <v>365.96800000000002</v>
      </c>
      <c r="F14" s="6">
        <v>1466.17</v>
      </c>
      <c r="G14" s="6">
        <f>Tabela24[[#This Row],[Montante Cobrado (25%) €]]*3</f>
        <v>4398.51</v>
      </c>
      <c r="H14" s="7">
        <f>Tabela24[[#This Row],[Benefício Fiscal (75%) €]]+Tabela24[[#This Row],[Montante Cobrado (25%) €]]</f>
        <v>5864.68</v>
      </c>
      <c r="J14" s="33"/>
    </row>
    <row r="15" spans="1:10" x14ac:dyDescent="0.25">
      <c r="A15" s="32" t="s">
        <v>22</v>
      </c>
      <c r="B15" s="5" t="s">
        <v>33</v>
      </c>
      <c r="C15" s="5" t="s">
        <v>34</v>
      </c>
      <c r="D15" s="6">
        <v>714.7</v>
      </c>
      <c r="E15" s="6">
        <v>194.39840000000001</v>
      </c>
      <c r="F15" s="6">
        <v>778.74</v>
      </c>
      <c r="G15" s="6">
        <f>Tabela24[[#This Row],[Montante Cobrado (25%) €]]*3</f>
        <v>2336.2200000000003</v>
      </c>
      <c r="H15" s="7">
        <f>Tabela24[[#This Row],[Benefício Fiscal (75%) €]]+Tabela24[[#This Row],[Montante Cobrado (25%) €]]</f>
        <v>3114.96</v>
      </c>
      <c r="J15" s="33"/>
    </row>
    <row r="16" spans="1:10" x14ac:dyDescent="0.25">
      <c r="A16" s="32" t="s">
        <v>43</v>
      </c>
      <c r="B16" s="23" t="s">
        <v>52</v>
      </c>
      <c r="C16" s="23" t="s">
        <v>53</v>
      </c>
      <c r="D16" s="24">
        <v>105</v>
      </c>
      <c r="E16" s="24">
        <v>26.25</v>
      </c>
      <c r="F16" s="24">
        <v>105.16500000000001</v>
      </c>
      <c r="G16" s="25">
        <f>Tabela24[[#This Row],[Montante Cobrado (25%) €]]*3</f>
        <v>315.495</v>
      </c>
      <c r="H16" s="26">
        <f>Tabela24[[#This Row],[Benefício Fiscal (75%) €]]+Tabela24[[#This Row],[Montante Cobrado (25%) €]]</f>
        <v>420.66</v>
      </c>
      <c r="J16" s="33"/>
    </row>
    <row r="17" spans="1:10" x14ac:dyDescent="0.25">
      <c r="A17" s="32" t="s">
        <v>10</v>
      </c>
      <c r="B17" s="23" t="s">
        <v>54</v>
      </c>
      <c r="C17" s="23" t="s">
        <v>55</v>
      </c>
      <c r="D17" s="24">
        <v>240.5</v>
      </c>
      <c r="E17" s="24">
        <v>60.125</v>
      </c>
      <c r="F17" s="24">
        <v>240.88</v>
      </c>
      <c r="G17" s="25">
        <f>Tabela24[[#This Row],[Montante Cobrado (25%) €]]*3</f>
        <v>722.64</v>
      </c>
      <c r="H17" s="26">
        <f>Tabela24[[#This Row],[Benefício Fiscal (75%) €]]+Tabela24[[#This Row],[Montante Cobrado (25%) €]]</f>
        <v>963.52</v>
      </c>
      <c r="J17" s="33"/>
    </row>
    <row r="18" spans="1:10" x14ac:dyDescent="0.25">
      <c r="A18" s="8"/>
      <c r="B18" s="9"/>
      <c r="C18" s="9"/>
      <c r="D18" s="10">
        <f>SUBTOTAL(109,D5:D17)</f>
        <v>417079.8</v>
      </c>
      <c r="E18" s="10">
        <f>SUBTOTAL(109,E5:E17)</f>
        <v>110735.21140000001</v>
      </c>
      <c r="F18" s="10">
        <f>SUBTOTAL(109,F5:F17)</f>
        <v>443635.22499999998</v>
      </c>
      <c r="G18" s="10">
        <f>Tabela24[[#This Row],[Montante Cobrado (25%) €]]*3</f>
        <v>1330905.6749999998</v>
      </c>
      <c r="H18" s="11">
        <f>Tabela24[[#This Row],[Benefício Fiscal (75%) €]]+Tabela24[[#This Row],[Montante Cobrado (25%) €]]</f>
        <v>1774540.9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J17"/>
  <sheetViews>
    <sheetView workbookViewId="0"/>
  </sheetViews>
  <sheetFormatPr defaultRowHeight="15" x14ac:dyDescent="0.25"/>
  <cols>
    <col min="1" max="1" width="13.28515625" style="35" customWidth="1"/>
    <col min="2" max="2" width="63.7109375" style="35" customWidth="1"/>
    <col min="3" max="3" width="14.42578125" style="35" customWidth="1"/>
    <col min="4" max="4" width="11.7109375" style="35" customWidth="1"/>
    <col min="5" max="5" width="12.7109375" style="35" customWidth="1"/>
    <col min="6" max="6" width="13" style="35" customWidth="1"/>
    <col min="7" max="7" width="14.28515625" style="35" customWidth="1"/>
    <col min="8" max="8" width="15.5703125" style="35" customWidth="1"/>
    <col min="9" max="9" width="15.7109375" style="35" customWidth="1"/>
    <col min="10" max="10" width="8" style="35" customWidth="1"/>
    <col min="11" max="16384" width="9.140625" style="35"/>
  </cols>
  <sheetData>
    <row r="2" spans="1:10" ht="20.25" x14ac:dyDescent="0.25">
      <c r="A2" s="34" t="s">
        <v>36</v>
      </c>
      <c r="B2" s="34"/>
      <c r="C2" s="34"/>
      <c r="D2" s="34"/>
      <c r="E2" s="34"/>
      <c r="F2" s="34"/>
      <c r="G2" s="34"/>
      <c r="H2" s="34"/>
    </row>
    <row r="3" spans="1:10" x14ac:dyDescent="0.25">
      <c r="A3" s="36" t="s">
        <v>62</v>
      </c>
      <c r="B3" s="36"/>
      <c r="C3" s="36"/>
      <c r="D3" s="36"/>
      <c r="E3" s="36"/>
      <c r="F3" s="36"/>
      <c r="G3" s="36"/>
      <c r="H3" s="36"/>
    </row>
    <row r="4" spans="1:10" x14ac:dyDescent="0.25">
      <c r="A4" s="36" t="s">
        <v>64</v>
      </c>
      <c r="B4" s="36"/>
      <c r="C4" s="36"/>
      <c r="D4" s="36"/>
      <c r="E4" s="36"/>
      <c r="F4" s="36"/>
      <c r="G4" s="36"/>
      <c r="H4" s="36"/>
    </row>
    <row r="5" spans="1:10" ht="38.25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3" t="s">
        <v>57</v>
      </c>
      <c r="G5" s="3" t="s">
        <v>58</v>
      </c>
      <c r="H5" s="4" t="s">
        <v>9</v>
      </c>
    </row>
    <row r="6" spans="1:10" x14ac:dyDescent="0.25">
      <c r="A6" s="37" t="s">
        <v>10</v>
      </c>
      <c r="B6" s="38" t="s">
        <v>15</v>
      </c>
      <c r="C6" s="38" t="s">
        <v>16</v>
      </c>
      <c r="D6" s="39">
        <v>249.9</v>
      </c>
      <c r="E6" s="39">
        <v>50.19</v>
      </c>
      <c r="F6" s="39">
        <v>402.15</v>
      </c>
      <c r="G6" s="39">
        <f>Tabela243[[#This Row],[Montante Cobrado (50%) €]]*1</f>
        <v>402.15</v>
      </c>
      <c r="H6" s="40">
        <f>Tabela243[[#This Row],[Benefício Fiscal (50%) €]]+Tabela243[[#This Row],[Montante Cobrado (50%) €]]</f>
        <v>804.3</v>
      </c>
      <c r="J6" s="41"/>
    </row>
    <row r="7" spans="1:10" x14ac:dyDescent="0.25">
      <c r="A7" s="37" t="s">
        <v>22</v>
      </c>
      <c r="B7" s="38" t="s">
        <v>23</v>
      </c>
      <c r="C7" s="38" t="s">
        <v>24</v>
      </c>
      <c r="D7" s="39">
        <v>845.65</v>
      </c>
      <c r="E7" s="39">
        <v>210.65450000000001</v>
      </c>
      <c r="F7" s="39">
        <v>1687.89</v>
      </c>
      <c r="G7" s="39">
        <f>Tabela243[[#This Row],[Montante Cobrado (50%) €]]*1</f>
        <v>1687.89</v>
      </c>
      <c r="H7" s="40">
        <f>Tabela243[[#This Row],[Benefício Fiscal (50%) €]]+Tabela243[[#This Row],[Montante Cobrado (50%) €]]</f>
        <v>3375.78</v>
      </c>
      <c r="J7" s="41"/>
    </row>
    <row r="8" spans="1:10" x14ac:dyDescent="0.25">
      <c r="A8" s="37" t="s">
        <v>22</v>
      </c>
      <c r="B8" s="38" t="s">
        <v>25</v>
      </c>
      <c r="C8" s="38" t="s">
        <v>26</v>
      </c>
      <c r="D8" s="39">
        <v>4453.8999999999996</v>
      </c>
      <c r="E8" s="39">
        <v>922.65700000000004</v>
      </c>
      <c r="F8" s="39">
        <v>7392.84</v>
      </c>
      <c r="G8" s="39">
        <f>Tabela243[[#This Row],[Montante Cobrado (50%) €]]*1</f>
        <v>7392.84</v>
      </c>
      <c r="H8" s="40">
        <f>Tabela243[[#This Row],[Benefício Fiscal (50%) €]]+Tabela243[[#This Row],[Montante Cobrado (50%) €]]</f>
        <v>14785.68</v>
      </c>
      <c r="J8" s="41"/>
    </row>
    <row r="9" spans="1:10" x14ac:dyDescent="0.25">
      <c r="A9" s="37" t="s">
        <v>22</v>
      </c>
      <c r="B9" s="38" t="s">
        <v>27</v>
      </c>
      <c r="C9" s="38" t="s">
        <v>28</v>
      </c>
      <c r="D9" s="39">
        <v>317.39999999999998</v>
      </c>
      <c r="E9" s="39">
        <v>68.407499999999999</v>
      </c>
      <c r="F9" s="39">
        <v>548.12</v>
      </c>
      <c r="G9" s="39">
        <f>Tabela243[[#This Row],[Montante Cobrado (50%) €]]*1</f>
        <v>548.12</v>
      </c>
      <c r="H9" s="40">
        <f>Tabela243[[#This Row],[Benefício Fiscal (50%) €]]+Tabela243[[#This Row],[Montante Cobrado (50%) €]]</f>
        <v>1096.24</v>
      </c>
      <c r="J9" s="41"/>
    </row>
    <row r="10" spans="1:10" x14ac:dyDescent="0.25">
      <c r="A10" s="8"/>
      <c r="B10" s="9"/>
      <c r="C10" s="9"/>
      <c r="D10" s="10">
        <f>SUBTOTAL(109,D6:D9)</f>
        <v>5866.8499999999995</v>
      </c>
      <c r="E10" s="10">
        <f>SUBTOTAL(109,E6:E9)</f>
        <v>1251.9090000000001</v>
      </c>
      <c r="F10" s="10">
        <f>SUBTOTAL(109,F6:F9)</f>
        <v>10031.000000000002</v>
      </c>
      <c r="G10" s="39">
        <f>Tabela243[[#This Row],[Montante Cobrado (50%) €]]*1</f>
        <v>10031.000000000002</v>
      </c>
      <c r="H10" s="40">
        <f>Tabela243[[#This Row],[Benefício Fiscal (50%) €]]+Tabela243[[#This Row],[Montante Cobrado (50%) €]]</f>
        <v>20062.000000000004</v>
      </c>
      <c r="J10" s="41"/>
    </row>
    <row r="11" spans="1:10" x14ac:dyDescent="0.25">
      <c r="J11" s="41"/>
    </row>
    <row r="12" spans="1:10" x14ac:dyDescent="0.25">
      <c r="J12" s="41"/>
    </row>
    <row r="13" spans="1:10" x14ac:dyDescent="0.25">
      <c r="J13" s="41"/>
    </row>
    <row r="14" spans="1:10" x14ac:dyDescent="0.25">
      <c r="J14" s="41"/>
    </row>
    <row r="15" spans="1:10" x14ac:dyDescent="0.25">
      <c r="J15" s="41"/>
    </row>
    <row r="16" spans="1:10" x14ac:dyDescent="0.25">
      <c r="J16" s="41"/>
    </row>
    <row r="17" spans="10:10" x14ac:dyDescent="0.25">
      <c r="J17" s="41"/>
    </row>
  </sheetData>
  <mergeCells count="3">
    <mergeCell ref="A2:H2"/>
    <mergeCell ref="A3:H3"/>
    <mergeCell ref="A4:H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K17"/>
  <sheetViews>
    <sheetView workbookViewId="0"/>
  </sheetViews>
  <sheetFormatPr defaultRowHeight="15" x14ac:dyDescent="0.25"/>
  <cols>
    <col min="2" max="2" width="12" customWidth="1"/>
    <col min="3" max="3" width="55.140625" customWidth="1"/>
    <col min="4" max="4" width="15.140625" customWidth="1"/>
    <col min="5" max="5" width="14.140625" customWidth="1"/>
    <col min="6" max="6" width="14.7109375" customWidth="1"/>
    <col min="7" max="7" width="14.5703125" customWidth="1"/>
    <col min="8" max="8" width="13.5703125" customWidth="1"/>
    <col min="9" max="9" width="20.28515625" customWidth="1"/>
    <col min="11" max="11" width="12" bestFit="1" customWidth="1"/>
  </cols>
  <sheetData>
    <row r="2" spans="2:11" ht="20.25" x14ac:dyDescent="0.25">
      <c r="B2" s="27" t="s">
        <v>51</v>
      </c>
      <c r="C2" s="27"/>
      <c r="D2" s="27"/>
      <c r="E2" s="27"/>
      <c r="F2" s="27"/>
      <c r="G2" s="27"/>
      <c r="H2" s="27"/>
      <c r="I2" s="27"/>
      <c r="J2" s="30"/>
      <c r="K2" s="30"/>
    </row>
    <row r="3" spans="2:11" x14ac:dyDescent="0.25">
      <c r="B3" s="31" t="s">
        <v>50</v>
      </c>
      <c r="C3" s="31"/>
      <c r="D3" s="31"/>
      <c r="E3" s="31"/>
      <c r="F3" s="31"/>
      <c r="G3" s="31"/>
      <c r="H3" s="31"/>
      <c r="I3" s="31"/>
      <c r="J3" s="30"/>
      <c r="K3" s="30"/>
    </row>
    <row r="4" spans="2:11" x14ac:dyDescent="0.25">
      <c r="B4" s="31" t="s">
        <v>37</v>
      </c>
      <c r="C4" s="31"/>
      <c r="D4" s="31"/>
      <c r="E4" s="31"/>
      <c r="F4" s="31"/>
      <c r="G4" s="31"/>
      <c r="H4" s="31"/>
      <c r="I4" s="31"/>
      <c r="J4" s="30"/>
      <c r="K4" s="30"/>
    </row>
    <row r="5" spans="2:11" ht="24" x14ac:dyDescent="0.25">
      <c r="B5" s="12" t="s">
        <v>2</v>
      </c>
      <c r="C5" s="13" t="s">
        <v>38</v>
      </c>
      <c r="D5" s="13" t="s">
        <v>4</v>
      </c>
      <c r="E5" s="14" t="s">
        <v>39</v>
      </c>
      <c r="F5" s="14" t="s">
        <v>6</v>
      </c>
      <c r="G5" s="14" t="s">
        <v>40</v>
      </c>
      <c r="H5" s="14" t="s">
        <v>41</v>
      </c>
      <c r="I5" s="15" t="s">
        <v>42</v>
      </c>
      <c r="J5" s="30"/>
      <c r="K5" s="30"/>
    </row>
    <row r="6" spans="2:11" x14ac:dyDescent="0.25">
      <c r="B6" s="42"/>
      <c r="C6" s="42"/>
      <c r="D6" s="42"/>
      <c r="E6" s="42"/>
      <c r="F6" s="42"/>
      <c r="G6" s="42"/>
      <c r="H6" s="42"/>
      <c r="I6" s="42"/>
      <c r="J6" s="30"/>
      <c r="K6" s="30"/>
    </row>
    <row r="7" spans="2:11" x14ac:dyDescent="0.25">
      <c r="B7" s="37" t="s">
        <v>22</v>
      </c>
      <c r="C7" s="38" t="s">
        <v>25</v>
      </c>
      <c r="D7" s="43" t="s">
        <v>26</v>
      </c>
      <c r="E7" s="39">
        <v>22249.95</v>
      </c>
      <c r="F7" s="39">
        <v>8896.7049999999999</v>
      </c>
      <c r="G7" s="39">
        <v>35642.57</v>
      </c>
      <c r="H7" s="39">
        <f>Tabela18[[#This Row],[Montante Cobrado (25%)]]*3</f>
        <v>106927.70999999999</v>
      </c>
      <c r="I7" s="40">
        <f>Tabela18[[#This Row],[Benefício Fiscal (75%)]]+Tabela18[[#This Row],[Montante Cobrado (25%)]]</f>
        <v>142570.28</v>
      </c>
      <c r="J7" s="30"/>
      <c r="K7" s="30"/>
    </row>
    <row r="8" spans="2:11" x14ac:dyDescent="0.25">
      <c r="B8" s="37" t="s">
        <v>22</v>
      </c>
      <c r="C8" s="38" t="s">
        <v>23</v>
      </c>
      <c r="D8" s="44" t="s">
        <v>24</v>
      </c>
      <c r="E8" s="39">
        <v>22980.400000000001</v>
      </c>
      <c r="F8" s="39">
        <v>9192.16</v>
      </c>
      <c r="G8" s="39">
        <v>36826.33</v>
      </c>
      <c r="H8" s="39">
        <f>Tabela18[[#This Row],[Montante Cobrado (25%)]]*3</f>
        <v>110478.99</v>
      </c>
      <c r="I8" s="40">
        <f>Tabela18[[#This Row],[Benefício Fiscal (75%)]]+Tabela18[[#This Row],[Montante Cobrado (25%)]]</f>
        <v>147305.32</v>
      </c>
      <c r="J8" s="30"/>
      <c r="K8" s="30"/>
    </row>
    <row r="9" spans="2:11" x14ac:dyDescent="0.25">
      <c r="B9" s="37" t="s">
        <v>22</v>
      </c>
      <c r="C9" s="38" t="s">
        <v>27</v>
      </c>
      <c r="D9" s="44" t="s">
        <v>28</v>
      </c>
      <c r="E9" s="39">
        <v>11969</v>
      </c>
      <c r="F9" s="39">
        <v>4787.6000000000004</v>
      </c>
      <c r="G9" s="39">
        <v>19180.419999999998</v>
      </c>
      <c r="H9" s="39">
        <f>Tabela18[[#This Row],[Montante Cobrado (25%)]]*3</f>
        <v>57541.259999999995</v>
      </c>
      <c r="I9" s="40">
        <f>Tabela18[[#This Row],[Benefício Fiscal (75%)]]+Tabela18[[#This Row],[Montante Cobrado (25%)]]</f>
        <v>76721.679999999993</v>
      </c>
      <c r="J9" s="30"/>
      <c r="K9" s="30"/>
    </row>
    <row r="10" spans="2:11" x14ac:dyDescent="0.25">
      <c r="B10" s="45" t="s">
        <v>10</v>
      </c>
      <c r="C10" s="45" t="s">
        <v>11</v>
      </c>
      <c r="D10" s="45" t="s">
        <v>12</v>
      </c>
      <c r="E10" s="45">
        <v>4348.3999999999996</v>
      </c>
      <c r="F10" s="45">
        <v>2230.5500000000002</v>
      </c>
      <c r="G10" s="45">
        <v>8936.19</v>
      </c>
      <c r="H10" s="45">
        <f>Tabela18[[#This Row],[Montante Cobrado (25%)]]*3</f>
        <v>26808.57</v>
      </c>
      <c r="I10" s="40">
        <f>Tabela18[[#This Row],[Benefício Fiscal (75%)]]+Tabela18[[#This Row],[Montante Cobrado (25%)]]</f>
        <v>35744.76</v>
      </c>
      <c r="J10" s="30"/>
      <c r="K10" s="30"/>
    </row>
    <row r="11" spans="2:11" x14ac:dyDescent="0.25">
      <c r="B11" s="37" t="s">
        <v>10</v>
      </c>
      <c r="C11" s="38" t="s">
        <v>15</v>
      </c>
      <c r="D11" s="44" t="s">
        <v>16</v>
      </c>
      <c r="E11" s="39">
        <v>1505</v>
      </c>
      <c r="F11" s="39">
        <v>737.45</v>
      </c>
      <c r="G11" s="39">
        <v>2954.42</v>
      </c>
      <c r="H11" s="39">
        <f>Tabela18[[#This Row],[Montante Cobrado (25%)]]*3</f>
        <v>8863.26</v>
      </c>
      <c r="I11" s="40">
        <f>Tabela18[[#This Row],[Benefício Fiscal (75%)]]+Tabela18[[#This Row],[Montante Cobrado (25%)]]</f>
        <v>11817.68</v>
      </c>
      <c r="J11" s="30"/>
      <c r="K11" s="30"/>
    </row>
    <row r="12" spans="2:11" x14ac:dyDescent="0.25">
      <c r="B12" s="37" t="s">
        <v>43</v>
      </c>
      <c r="C12" s="38" t="s">
        <v>44</v>
      </c>
      <c r="D12" s="44" t="s">
        <v>45</v>
      </c>
      <c r="E12" s="39">
        <v>226.1</v>
      </c>
      <c r="F12" s="39">
        <v>90.44</v>
      </c>
      <c r="G12" s="39">
        <v>362.32</v>
      </c>
      <c r="H12" s="39">
        <f>Tabela18[[#This Row],[Montante Cobrado (25%)]]*3</f>
        <v>1086.96</v>
      </c>
      <c r="I12" s="40">
        <f>Tabela18[[#This Row],[Benefício Fiscal (75%)]]+Tabela18[[#This Row],[Montante Cobrado (25%)]]</f>
        <v>1449.28</v>
      </c>
      <c r="J12" s="30"/>
      <c r="K12" s="30"/>
    </row>
    <row r="13" spans="2:11" x14ac:dyDescent="0.25">
      <c r="B13" s="37" t="s">
        <v>10</v>
      </c>
      <c r="C13" s="38" t="s">
        <v>46</v>
      </c>
      <c r="D13" s="44" t="s">
        <v>14</v>
      </c>
      <c r="E13" s="39">
        <v>315</v>
      </c>
      <c r="F13" s="39">
        <v>132.72</v>
      </c>
      <c r="G13" s="39">
        <v>531.72</v>
      </c>
      <c r="H13" s="39">
        <f>Tabela18[[#This Row],[Montante Cobrado (25%)]]*3</f>
        <v>1595.16</v>
      </c>
      <c r="I13" s="40">
        <f>Tabela18[[#This Row],[Benefício Fiscal (75%)]]+Tabela18[[#This Row],[Montante Cobrado (25%)]]</f>
        <v>2126.88</v>
      </c>
      <c r="J13" s="30"/>
      <c r="K13" s="30"/>
    </row>
    <row r="14" spans="2:11" x14ac:dyDescent="0.25">
      <c r="B14" s="46" t="s">
        <v>17</v>
      </c>
      <c r="C14" s="47" t="s">
        <v>47</v>
      </c>
      <c r="D14" s="48" t="s">
        <v>48</v>
      </c>
      <c r="E14" s="49">
        <v>219.5</v>
      </c>
      <c r="F14" s="49">
        <v>107.55500000000001</v>
      </c>
      <c r="G14" s="49">
        <v>430.89</v>
      </c>
      <c r="H14" s="49">
        <f>Tabela18[[#This Row],[Montante Cobrado (25%)]]*3</f>
        <v>1292.67</v>
      </c>
      <c r="I14" s="40">
        <f>Tabela18[[#This Row],[Benefício Fiscal (75%)]]+Tabela18[[#This Row],[Montante Cobrado (25%)]]</f>
        <v>1723.56</v>
      </c>
      <c r="J14" s="30"/>
      <c r="K14" s="30"/>
    </row>
    <row r="15" spans="2:11" x14ac:dyDescent="0.25">
      <c r="B15" s="46" t="s">
        <v>10</v>
      </c>
      <c r="C15" s="47" t="s">
        <v>49</v>
      </c>
      <c r="D15" s="48" t="s">
        <v>35</v>
      </c>
      <c r="E15" s="49">
        <v>121</v>
      </c>
      <c r="F15" s="49">
        <v>55.66</v>
      </c>
      <c r="G15" s="49">
        <v>222.94</v>
      </c>
      <c r="H15" s="49">
        <f>Tabela18[[#This Row],[Montante Cobrado (25%)]]*3</f>
        <v>668.81999999999994</v>
      </c>
      <c r="I15" s="40">
        <f>Tabela18[[#This Row],[Benefício Fiscal (75%)]]+Tabela18[[#This Row],[Montante Cobrado (25%)]]</f>
        <v>891.76</v>
      </c>
      <c r="J15" s="30"/>
      <c r="K15" s="30"/>
    </row>
    <row r="16" spans="2:11" x14ac:dyDescent="0.25">
      <c r="B16" s="38" t="s">
        <v>43</v>
      </c>
      <c r="C16" s="38" t="s">
        <v>52</v>
      </c>
      <c r="D16" s="44" t="s">
        <v>53</v>
      </c>
      <c r="E16" s="39">
        <v>33.75</v>
      </c>
      <c r="F16" s="39">
        <v>13.5</v>
      </c>
      <c r="G16" s="39">
        <v>54.085000000000001</v>
      </c>
      <c r="H16" s="39">
        <f>Tabela18[[#This Row],[Montante Cobrado (25%)]]*3</f>
        <v>162.255</v>
      </c>
      <c r="I16" s="39">
        <f>Tabela18[[#This Row],[Benefício Fiscal (75%)]]+Tabela18[[#This Row],[Montante Cobrado (25%)]]</f>
        <v>216.34</v>
      </c>
      <c r="J16" s="30"/>
      <c r="K16" s="30"/>
    </row>
    <row r="17" spans="2:11" x14ac:dyDescent="0.25">
      <c r="B17" s="16"/>
      <c r="C17" s="16"/>
      <c r="D17" s="17"/>
      <c r="E17" s="18">
        <f>SUBTOTAL(109,Tabela18[Litros de Aguardente])</f>
        <v>63968.100000000006</v>
      </c>
      <c r="F17" s="18">
        <f>SUBTOTAL(109,Tabela18[Litros de Álcool Puro])</f>
        <v>26244.339999999997</v>
      </c>
      <c r="G17" s="18">
        <f>SUBTOTAL(109,Tabela18[Montante Cobrado (25%)])</f>
        <v>105141.88500000001</v>
      </c>
      <c r="H17" s="19">
        <f>SUBTOTAL(109,Tabela18[Benefício Fiscal (75%)])</f>
        <v>315425.65500000003</v>
      </c>
      <c r="I17" s="19">
        <f>SUBTOTAL(109,Tabela18[IEC TOTAL €])</f>
        <v>420567.54000000004</v>
      </c>
      <c r="J17" s="30"/>
      <c r="K17" s="30"/>
    </row>
  </sheetData>
  <mergeCells count="3">
    <mergeCell ref="B2:I2"/>
    <mergeCell ref="B3:I3"/>
    <mergeCell ref="B4:I4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J18"/>
  <sheetViews>
    <sheetView workbookViewId="0"/>
  </sheetViews>
  <sheetFormatPr defaultRowHeight="15" x14ac:dyDescent="0.25"/>
  <cols>
    <col min="1" max="1" width="14.140625" style="30" customWidth="1"/>
    <col min="2" max="2" width="43.140625" style="30" customWidth="1"/>
    <col min="3" max="3" width="14.85546875" style="30" customWidth="1"/>
    <col min="4" max="4" width="12.85546875" style="30" customWidth="1"/>
    <col min="5" max="5" width="12.7109375" style="30" customWidth="1"/>
    <col min="6" max="6" width="13.42578125" style="30" customWidth="1"/>
    <col min="7" max="7" width="13.85546875" style="30" customWidth="1"/>
    <col min="8" max="8" width="18.5703125" style="30" customWidth="1"/>
    <col min="9" max="16384" width="9.140625" style="30"/>
  </cols>
  <sheetData>
    <row r="2" spans="1:10" ht="20.25" x14ac:dyDescent="0.25">
      <c r="A2" s="27" t="s">
        <v>51</v>
      </c>
      <c r="B2" s="27"/>
      <c r="C2" s="27"/>
      <c r="D2" s="27"/>
      <c r="E2" s="27"/>
      <c r="F2" s="27"/>
      <c r="G2" s="27"/>
      <c r="H2" s="27"/>
    </row>
    <row r="3" spans="1:10" x14ac:dyDescent="0.25">
      <c r="A3" s="31" t="s">
        <v>56</v>
      </c>
      <c r="B3" s="31"/>
      <c r="C3" s="31"/>
      <c r="D3" s="31"/>
      <c r="E3" s="31"/>
      <c r="F3" s="31"/>
      <c r="G3" s="31"/>
      <c r="H3" s="31"/>
    </row>
    <row r="4" spans="1:10" x14ac:dyDescent="0.25">
      <c r="A4" s="31" t="s">
        <v>63</v>
      </c>
      <c r="B4" s="31"/>
      <c r="C4" s="31"/>
      <c r="D4" s="31"/>
      <c r="E4" s="31"/>
      <c r="F4" s="31"/>
      <c r="G4" s="31"/>
      <c r="H4" s="31"/>
    </row>
    <row r="5" spans="1:10" ht="38.25" x14ac:dyDescent="0.25">
      <c r="A5" s="1" t="s">
        <v>2</v>
      </c>
      <c r="B5" s="2" t="s">
        <v>3</v>
      </c>
      <c r="C5" s="2" t="s">
        <v>4</v>
      </c>
      <c r="D5" s="3" t="s">
        <v>39</v>
      </c>
      <c r="E5" s="3" t="s">
        <v>6</v>
      </c>
      <c r="F5" s="3" t="s">
        <v>57</v>
      </c>
      <c r="G5" s="3" t="s">
        <v>58</v>
      </c>
      <c r="H5" s="4" t="s">
        <v>9</v>
      </c>
    </row>
    <row r="6" spans="1:10" x14ac:dyDescent="0.25">
      <c r="A6" s="37" t="s">
        <v>10</v>
      </c>
      <c r="B6" s="38" t="s">
        <v>15</v>
      </c>
      <c r="C6" s="38" t="s">
        <v>16</v>
      </c>
      <c r="D6" s="39">
        <v>4.2</v>
      </c>
      <c r="E6" s="39">
        <v>2.0579999999999998</v>
      </c>
      <c r="F6" s="39">
        <v>16.48</v>
      </c>
      <c r="G6" s="39">
        <f>Tabela2435[[#This Row],[Montante Cobrado (50%) €]]*1</f>
        <v>16.48</v>
      </c>
      <c r="H6" s="40">
        <f>Tabela2435[[#This Row],[Benefício Fiscal (50%) €]]+Tabela2435[[#This Row],[Montante Cobrado (50%) €]]</f>
        <v>32.96</v>
      </c>
      <c r="J6" s="33"/>
    </row>
    <row r="7" spans="1:10" x14ac:dyDescent="0.25">
      <c r="A7" s="37" t="s">
        <v>22</v>
      </c>
      <c r="B7" s="38" t="s">
        <v>23</v>
      </c>
      <c r="C7" s="38" t="s">
        <v>24</v>
      </c>
      <c r="D7" s="39">
        <v>83.8</v>
      </c>
      <c r="E7" s="39">
        <v>33.520000000000003</v>
      </c>
      <c r="F7" s="39">
        <v>268.58</v>
      </c>
      <c r="G7" s="39">
        <f>Tabela2435[[#This Row],[Montante Cobrado (50%) €]]*1</f>
        <v>268.58</v>
      </c>
      <c r="H7" s="40">
        <f>Tabela2435[[#This Row],[Benefício Fiscal (50%) €]]+Tabela2435[[#This Row],[Montante Cobrado (50%) €]]</f>
        <v>537.16</v>
      </c>
      <c r="J7" s="33"/>
    </row>
    <row r="8" spans="1:10" x14ac:dyDescent="0.25">
      <c r="A8" s="37" t="s">
        <v>22</v>
      </c>
      <c r="B8" s="38" t="s">
        <v>25</v>
      </c>
      <c r="C8" s="38" t="s">
        <v>26</v>
      </c>
      <c r="D8" s="39">
        <v>138.6</v>
      </c>
      <c r="E8" s="39">
        <v>55.44</v>
      </c>
      <c r="F8" s="39">
        <v>444.22</v>
      </c>
      <c r="G8" s="39">
        <f>Tabela2435[[#This Row],[Montante Cobrado (50%) €]]*1</f>
        <v>444.22</v>
      </c>
      <c r="H8" s="40">
        <f>Tabela2435[[#This Row],[Benefício Fiscal (50%) €]]+Tabela2435[[#This Row],[Montante Cobrado (50%) €]]</f>
        <v>888.44</v>
      </c>
      <c r="J8" s="33"/>
    </row>
    <row r="9" spans="1:10" x14ac:dyDescent="0.25">
      <c r="A9" s="37" t="s">
        <v>22</v>
      </c>
      <c r="B9" s="38" t="s">
        <v>27</v>
      </c>
      <c r="C9" s="38" t="s">
        <v>28</v>
      </c>
      <c r="D9" s="39"/>
      <c r="E9" s="39"/>
      <c r="F9" s="39"/>
      <c r="G9" s="39">
        <f>Tabela2435[[#This Row],[Montante Cobrado (50%) €]]*1</f>
        <v>0</v>
      </c>
      <c r="H9" s="40">
        <f>Tabela2435[[#This Row],[Benefício Fiscal (50%) €]]+Tabela2435[[#This Row],[Montante Cobrado (50%) €]]</f>
        <v>0</v>
      </c>
      <c r="J9" s="33"/>
    </row>
    <row r="10" spans="1:10" x14ac:dyDescent="0.25">
      <c r="A10" s="8"/>
      <c r="B10" s="9"/>
      <c r="C10" s="9"/>
      <c r="D10" s="10">
        <f>SUBTOTAL(109,D6:D9)</f>
        <v>226.6</v>
      </c>
      <c r="E10" s="10">
        <f>SUBTOTAL(109,E6:E9)</f>
        <v>91.018000000000001</v>
      </c>
      <c r="F10" s="10">
        <f>SUBTOTAL(109,F6:F9)</f>
        <v>729.28</v>
      </c>
      <c r="G10" s="39">
        <f>Tabela2435[[#This Row],[Montante Cobrado (50%) €]]*1</f>
        <v>729.28</v>
      </c>
      <c r="H10" s="40">
        <f>Tabela2435[[#This Row],[Benefício Fiscal (50%) €]]+Tabela2435[[#This Row],[Montante Cobrado (50%) €]]</f>
        <v>1458.56</v>
      </c>
      <c r="J10" s="33"/>
    </row>
    <row r="11" spans="1:10" x14ac:dyDescent="0.25">
      <c r="J11" s="33"/>
    </row>
    <row r="12" spans="1:10" x14ac:dyDescent="0.25">
      <c r="J12" s="33"/>
    </row>
    <row r="13" spans="1:10" x14ac:dyDescent="0.25">
      <c r="J13" s="33"/>
    </row>
    <row r="14" spans="1:10" x14ac:dyDescent="0.25">
      <c r="J14" s="33"/>
    </row>
    <row r="15" spans="1:10" x14ac:dyDescent="0.25">
      <c r="J15" s="33"/>
    </row>
    <row r="16" spans="1:10" x14ac:dyDescent="0.25">
      <c r="J16" s="33"/>
    </row>
    <row r="17" spans="10:10" x14ac:dyDescent="0.25">
      <c r="J17" s="33"/>
    </row>
    <row r="18" spans="10:10" x14ac:dyDescent="0.25">
      <c r="J18" s="33"/>
    </row>
  </sheetData>
  <mergeCells count="3">
    <mergeCell ref="A2:H2"/>
    <mergeCell ref="A3:H3"/>
    <mergeCell ref="A4:H4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workbookViewId="0"/>
  </sheetViews>
  <sheetFormatPr defaultRowHeight="15" x14ac:dyDescent="0.25"/>
  <cols>
    <col min="1" max="1" width="13.28515625" customWidth="1"/>
    <col min="2" max="2" width="51" customWidth="1"/>
    <col min="3" max="3" width="19" customWidth="1"/>
    <col min="4" max="4" width="14.140625" customWidth="1"/>
    <col min="5" max="5" width="13.28515625" customWidth="1"/>
    <col min="6" max="6" width="14.42578125" customWidth="1"/>
    <col min="7" max="7" width="13.28515625" customWidth="1"/>
    <col min="8" max="8" width="15.140625" customWidth="1"/>
  </cols>
  <sheetData>
    <row r="2" spans="1:8" ht="20.25" x14ac:dyDescent="0.25">
      <c r="A2" s="29" t="s">
        <v>59</v>
      </c>
      <c r="B2" s="29"/>
      <c r="C2" s="29"/>
      <c r="D2" s="29"/>
      <c r="E2" s="29"/>
      <c r="F2" s="29"/>
      <c r="G2" s="29"/>
      <c r="H2" s="29"/>
    </row>
    <row r="3" spans="1:8" x14ac:dyDescent="0.25">
      <c r="A3" s="28" t="s">
        <v>50</v>
      </c>
      <c r="B3" s="28"/>
      <c r="C3" s="28"/>
      <c r="D3" s="28"/>
      <c r="E3" s="28"/>
      <c r="F3" s="28"/>
      <c r="G3" s="28"/>
      <c r="H3" s="28"/>
    </row>
    <row r="4" spans="1:8" x14ac:dyDescent="0.25">
      <c r="A4" s="28" t="s">
        <v>65</v>
      </c>
      <c r="B4" s="28"/>
      <c r="C4" s="28"/>
      <c r="D4" s="28"/>
      <c r="E4" s="28"/>
      <c r="F4" s="28"/>
      <c r="G4" s="28"/>
      <c r="H4" s="28"/>
    </row>
    <row r="5" spans="1:8" ht="24" x14ac:dyDescent="0.25">
      <c r="A5" s="12" t="s">
        <v>2</v>
      </c>
      <c r="B5" s="13" t="s">
        <v>38</v>
      </c>
      <c r="C5" s="13" t="s">
        <v>4</v>
      </c>
      <c r="D5" s="14" t="s">
        <v>60</v>
      </c>
      <c r="E5" s="14" t="s">
        <v>6</v>
      </c>
      <c r="F5" s="14" t="s">
        <v>40</v>
      </c>
      <c r="G5" s="14" t="s">
        <v>41</v>
      </c>
      <c r="H5" s="15" t="s">
        <v>42</v>
      </c>
    </row>
    <row r="6" spans="1:8" x14ac:dyDescent="0.25">
      <c r="A6" s="42"/>
      <c r="B6" s="42"/>
      <c r="C6" s="42"/>
      <c r="D6" s="42"/>
      <c r="E6" s="42"/>
      <c r="F6" s="42"/>
      <c r="G6" s="42"/>
      <c r="H6" s="42"/>
    </row>
    <row r="7" spans="1:8" x14ac:dyDescent="0.25">
      <c r="A7" s="37" t="s">
        <v>22</v>
      </c>
      <c r="B7" s="38" t="s">
        <v>25</v>
      </c>
      <c r="C7" s="43" t="s">
        <v>26</v>
      </c>
      <c r="D7" s="39">
        <v>2386.1</v>
      </c>
      <c r="E7" s="39">
        <v>916.55200000000002</v>
      </c>
      <c r="F7" s="39">
        <v>3671.97</v>
      </c>
      <c r="G7" s="39">
        <f>Tabela187[[#This Row],[Montante Cobrado (25%)]]*3</f>
        <v>11015.91</v>
      </c>
      <c r="H7" s="40">
        <f>Tabela187[[#This Row],[Benefício Fiscal (75%)]]+Tabela187[[#This Row],[Montante Cobrado (25%)]]</f>
        <v>14687.88</v>
      </c>
    </row>
    <row r="8" spans="1:8" x14ac:dyDescent="0.25">
      <c r="A8" s="16"/>
      <c r="B8" s="16"/>
      <c r="C8" s="17"/>
      <c r="D8" s="18">
        <f>SUBTOTAL(109,Tabela187[Litros de RUM])</f>
        <v>2386.1</v>
      </c>
      <c r="E8" s="18">
        <f>SUBTOTAL(109,Tabela187[Litros de Álcool Puro])</f>
        <v>916.55200000000002</v>
      </c>
      <c r="F8" s="18">
        <f>SUBTOTAL(109,Tabela187[Montante Cobrado (25%)])</f>
        <v>3671.97</v>
      </c>
      <c r="G8" s="19">
        <f>SUBTOTAL(109,Tabela187[Benefício Fiscal (75%)])</f>
        <v>11015.91</v>
      </c>
      <c r="H8" s="19">
        <f>SUBTOTAL(109,Tabela187[IEC TOTAL €])</f>
        <v>14687.88</v>
      </c>
    </row>
  </sheetData>
  <mergeCells count="3">
    <mergeCell ref="A2:H2"/>
    <mergeCell ref="A3:H3"/>
    <mergeCell ref="A4:H4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workbookViewId="0"/>
  </sheetViews>
  <sheetFormatPr defaultRowHeight="15" x14ac:dyDescent="0.25"/>
  <cols>
    <col min="1" max="1" width="13" style="50" customWidth="1"/>
    <col min="2" max="2" width="52" style="50" customWidth="1"/>
    <col min="3" max="3" width="17.5703125" style="50" customWidth="1"/>
    <col min="4" max="5" width="13" style="50" customWidth="1"/>
    <col min="6" max="6" width="11.140625" style="50" customWidth="1"/>
    <col min="7" max="7" width="14.28515625" style="50" customWidth="1"/>
    <col min="8" max="8" width="13" style="50" customWidth="1"/>
    <col min="9" max="16384" width="9.140625" style="50"/>
  </cols>
  <sheetData>
    <row r="2" spans="1:10" ht="20.25" x14ac:dyDescent="0.25">
      <c r="A2" s="27" t="s">
        <v>61</v>
      </c>
      <c r="B2" s="27"/>
      <c r="C2" s="27"/>
      <c r="D2" s="27"/>
      <c r="E2" s="27"/>
      <c r="F2" s="27"/>
      <c r="G2" s="27"/>
      <c r="H2" s="27"/>
    </row>
    <row r="3" spans="1:10" x14ac:dyDescent="0.25">
      <c r="A3" s="31" t="s">
        <v>56</v>
      </c>
      <c r="B3" s="31"/>
      <c r="C3" s="31"/>
      <c r="D3" s="31"/>
      <c r="E3" s="31"/>
      <c r="F3" s="31"/>
      <c r="G3" s="31"/>
      <c r="H3" s="31"/>
    </row>
    <row r="4" spans="1:10" x14ac:dyDescent="0.25">
      <c r="A4" s="31" t="s">
        <v>66</v>
      </c>
      <c r="B4" s="31"/>
      <c r="C4" s="31"/>
      <c r="D4" s="31"/>
      <c r="E4" s="31"/>
      <c r="F4" s="31"/>
      <c r="G4" s="31"/>
      <c r="H4" s="31"/>
    </row>
    <row r="5" spans="1:10" ht="54.75" customHeight="1" x14ac:dyDescent="0.25">
      <c r="A5" s="1" t="s">
        <v>2</v>
      </c>
      <c r="B5" s="2" t="s">
        <v>3</v>
      </c>
      <c r="C5" s="2" t="s">
        <v>4</v>
      </c>
      <c r="D5" s="3" t="s">
        <v>60</v>
      </c>
      <c r="E5" s="3" t="s">
        <v>6</v>
      </c>
      <c r="F5" s="3" t="s">
        <v>57</v>
      </c>
      <c r="G5" s="3" t="s">
        <v>58</v>
      </c>
      <c r="H5" s="4" t="s">
        <v>9</v>
      </c>
    </row>
    <row r="6" spans="1:10" ht="21.75" customHeight="1" x14ac:dyDescent="0.25">
      <c r="A6" s="37" t="s">
        <v>22</v>
      </c>
      <c r="B6" s="38" t="s">
        <v>25</v>
      </c>
      <c r="C6" s="38" t="s">
        <v>26</v>
      </c>
      <c r="D6" s="39">
        <v>24918.5</v>
      </c>
      <c r="E6" s="39">
        <v>10740.621999999999</v>
      </c>
      <c r="F6" s="39">
        <v>82387.839999999997</v>
      </c>
      <c r="G6" s="39">
        <v>82387.839999999997</v>
      </c>
      <c r="H6" s="40">
        <v>164775.67999999999</v>
      </c>
      <c r="J6" s="51"/>
    </row>
    <row r="7" spans="1:10" ht="25.5" customHeight="1" x14ac:dyDescent="0.25">
      <c r="A7" s="8"/>
      <c r="B7" s="9"/>
      <c r="C7" s="9"/>
      <c r="D7" s="52">
        <f>SUM(D6:D6)</f>
        <v>24918.5</v>
      </c>
      <c r="E7" s="52">
        <f>SUM(E6:E6)</f>
        <v>10740.621999999999</v>
      </c>
      <c r="F7" s="52">
        <f>SUM(F6:F6)</f>
        <v>82387.839999999997</v>
      </c>
      <c r="G7" s="53">
        <f>Tabela24359[[#This Row],[Montante Cobrado (50%) €]]*1</f>
        <v>82387.839999999997</v>
      </c>
      <c r="H7" s="53">
        <f>Tabela24359[[#This Row],[Benefício Fiscal (50%) €]]+Tabela24359[[#This Row],[Montante Cobrado (50%) €]]</f>
        <v>164775.67999999999</v>
      </c>
      <c r="J7" s="51"/>
    </row>
    <row r="8" spans="1:10" x14ac:dyDescent="0.25">
      <c r="J8" s="51"/>
    </row>
    <row r="9" spans="1:10" x14ac:dyDescent="0.25">
      <c r="J9" s="51"/>
    </row>
    <row r="10" spans="1:10" x14ac:dyDescent="0.25">
      <c r="J10" s="51"/>
    </row>
  </sheetData>
  <mergeCells count="3">
    <mergeCell ref="A2:H2"/>
    <mergeCell ref="A3:H3"/>
    <mergeCell ref="A4:H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Licores Regionais C Açores 2025</vt:lpstr>
      <vt:lpstr>Licores Reg. C. Cont. 2025</vt:lpstr>
      <vt:lpstr>Aguardente C Açores 2025</vt:lpstr>
      <vt:lpstr>Aguardente C Continente 2025</vt:lpstr>
      <vt:lpstr>RUM Regional C Açores 2025</vt:lpstr>
      <vt:lpstr>RUM Regional C Continente 2025</vt:lpstr>
    </vt:vector>
  </TitlesOfParts>
  <Company>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José Vieira Moreira</dc:creator>
  <cp:lastModifiedBy>António Ferreira Pinto</cp:lastModifiedBy>
  <dcterms:created xsi:type="dcterms:W3CDTF">2026-04-16T16:13:48Z</dcterms:created>
  <dcterms:modified xsi:type="dcterms:W3CDTF">2026-05-14T09:52:51Z</dcterms:modified>
</cp:coreProperties>
</file>